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6" activeTab="1"/>
  </bookViews>
  <sheets>
    <sheet name="Summary" sheetId="1" r:id="rId1"/>
    <sheet name="Basic Valuation" sheetId="2" r:id="rId2"/>
    <sheet name="Goodwill" sheetId="3" r:id="rId3"/>
    <sheet name="Trade Name" sheetId="4" r:id="rId4"/>
    <sheet name="Technical Know-how" sheetId="5" r:id="rId5"/>
    <sheet name="Customer Replacement Cost" sheetId="6" r:id="rId6"/>
    <sheet name="Non-compete" sheetId="7" r:id="rId7"/>
  </sheets>
  <definedNames/>
  <calcPr fullCalcOnLoad="1"/>
</workbook>
</file>

<file path=xl/sharedStrings.xml><?xml version="1.0" encoding="utf-8"?>
<sst xmlns="http://schemas.openxmlformats.org/spreadsheetml/2006/main" count="167" uniqueCount="126">
  <si>
    <t>Total</t>
  </si>
  <si>
    <t>Gross Margin</t>
  </si>
  <si>
    <t>Present Value</t>
  </si>
  <si>
    <t>EBIDTA</t>
  </si>
  <si>
    <t>Valuation of Technical Know-How</t>
  </si>
  <si>
    <t xml:space="preserve">Trade Name </t>
  </si>
  <si>
    <t>Trade Name (%)</t>
  </si>
  <si>
    <t>Valuation of Goodwill</t>
  </si>
  <si>
    <t>Average Capital Employed</t>
  </si>
  <si>
    <t>(A)</t>
  </si>
  <si>
    <t>Cash Flow from Operations (Note:1)</t>
  </si>
  <si>
    <t>(B)</t>
  </si>
  <si>
    <t>(C )=(A-B)</t>
  </si>
  <si>
    <t>Free Cash Flow (FCF)</t>
  </si>
  <si>
    <t>(D)</t>
  </si>
  <si>
    <t>(E)=(C*D)</t>
  </si>
  <si>
    <t>PVFCF</t>
  </si>
  <si>
    <t>(G)=(E+F)</t>
  </si>
  <si>
    <t>Business Valuation</t>
  </si>
  <si>
    <t>Note: - 1</t>
  </si>
  <si>
    <t>EBIDITA</t>
  </si>
  <si>
    <t>Less: Income Tax</t>
  </si>
  <si>
    <t>Note: - 2</t>
  </si>
  <si>
    <t>Net Investment</t>
  </si>
  <si>
    <t>Closing Fixed Assets</t>
  </si>
  <si>
    <t>Less: Opening Fixed Assets</t>
  </si>
  <si>
    <t>Add:</t>
  </si>
  <si>
    <t>Closing Net Current Assets</t>
  </si>
  <si>
    <t>Less: Opening NCA</t>
  </si>
  <si>
    <t>Closing Cash Balance</t>
  </si>
  <si>
    <t>Less: Op. Cash Balance</t>
  </si>
  <si>
    <t>Net Investement at the end of year</t>
  </si>
  <si>
    <t>Valuation of Trade Name (Brand Name)</t>
  </si>
  <si>
    <t>Year</t>
  </si>
  <si>
    <t>Trade Name</t>
  </si>
  <si>
    <t>Goodwill</t>
  </si>
  <si>
    <t>Actual Profit for the year</t>
  </si>
  <si>
    <t>Capitalisaiton of Avg. Profit</t>
  </si>
  <si>
    <t>Capitalisaiton of Profit Method</t>
  </si>
  <si>
    <t>Capitalised Value of Profit</t>
  </si>
  <si>
    <t>Average Profits X (100 / Normal Rate of Return)</t>
  </si>
  <si>
    <t>Opportunity Cost</t>
  </si>
  <si>
    <t>(Rs. Lacs)</t>
  </si>
  <si>
    <t>Particulars</t>
  </si>
  <si>
    <t>% of Saving in Selling Cost</t>
  </si>
  <si>
    <t>Calculation of PVCF:</t>
  </si>
  <si>
    <t>PVCF</t>
  </si>
  <si>
    <t>Savings in selling &amp; Distribution Cost</t>
  </si>
  <si>
    <t>Valuation of Intangible Asset - Customer Replacement Cost base               (Rs. Lacs)</t>
  </si>
  <si>
    <t>Customer Replacement Cost</t>
  </si>
  <si>
    <t>Sales - Projected</t>
  </si>
  <si>
    <t>Projected Sales</t>
  </si>
  <si>
    <t>DCF Method</t>
  </si>
  <si>
    <t>Asset Method</t>
  </si>
  <si>
    <t>Weight</t>
  </si>
  <si>
    <t>Valuation</t>
  </si>
  <si>
    <t>W/Avg.</t>
  </si>
  <si>
    <t>Methods</t>
  </si>
  <si>
    <t>Total Valuation</t>
  </si>
  <si>
    <t>Rs. Lacs</t>
  </si>
  <si>
    <t>2013-14</t>
  </si>
  <si>
    <t>Sales</t>
  </si>
  <si>
    <t>2014-15</t>
  </si>
  <si>
    <t>2015-16</t>
  </si>
  <si>
    <t>2016-17</t>
  </si>
  <si>
    <t>PBT</t>
  </si>
  <si>
    <t>PAT</t>
  </si>
  <si>
    <t>Summary - Valuation - Net Asset Method</t>
  </si>
  <si>
    <t>Method - 1</t>
  </si>
  <si>
    <t>Beta</t>
  </si>
  <si>
    <t>Risk free Return</t>
  </si>
  <si>
    <t>Market risk premium</t>
  </si>
  <si>
    <t>Debt Ratio</t>
  </si>
  <si>
    <t xml:space="preserve">Cost of Borrowing </t>
  </si>
  <si>
    <t>Effective Tax Rate</t>
  </si>
  <si>
    <t>WACC</t>
  </si>
  <si>
    <t>Method - 2</t>
  </si>
  <si>
    <t>Super Profit Method</t>
  </si>
  <si>
    <t>Actual Profit</t>
  </si>
  <si>
    <t>Normal Profit</t>
  </si>
  <si>
    <t>Capital Employed</t>
  </si>
  <si>
    <t>Normal Rate of Return</t>
  </si>
  <si>
    <t>Super Profit</t>
  </si>
  <si>
    <t>Goodwill - 5 yrs Super profit</t>
  </si>
  <si>
    <t>Average Goodwill by both Methods</t>
  </si>
  <si>
    <t>2012-13</t>
  </si>
  <si>
    <t>2011-12</t>
  </si>
  <si>
    <t>2018-19</t>
  </si>
  <si>
    <t>Adjusted EBIDTA</t>
  </si>
  <si>
    <t>Non-compete Agreements</t>
  </si>
  <si>
    <t>Valuation of Non-Compete Agreement</t>
  </si>
  <si>
    <t>Non  - Compete</t>
  </si>
  <si>
    <t>Compete</t>
  </si>
  <si>
    <t>Profit due to Non-Compete</t>
  </si>
  <si>
    <t>Technical Know-how (Quality)</t>
  </si>
  <si>
    <t>Margin on Current Order Book</t>
  </si>
  <si>
    <t>Less: Finance Cost</t>
  </si>
  <si>
    <t>Less: Depreciation</t>
  </si>
  <si>
    <t>Less: Net Investment</t>
  </si>
  <si>
    <t xml:space="preserve">Add: Depreciation </t>
  </si>
  <si>
    <t>Note:</t>
  </si>
  <si>
    <t>Royalty @ 8%</t>
  </si>
  <si>
    <t>(Normally anywhere between 1-10% of Future EBIDTA - Quality based)</t>
  </si>
  <si>
    <t>Sr. No.</t>
  </si>
  <si>
    <t>OPTION 3</t>
  </si>
  <si>
    <t>Present Value Factor (PVF) @14%</t>
  </si>
  <si>
    <t>Total Present value of Free Cashflow</t>
  </si>
  <si>
    <t>Sales Increse (%)</t>
  </si>
  <si>
    <t>EBIDTA (%)</t>
  </si>
  <si>
    <t>Sales CAGR</t>
  </si>
  <si>
    <t>Average EBIDTA</t>
  </si>
  <si>
    <t>Valuation as per Discounted Cash Flow Method                                     (Rs. Lacs)</t>
  </si>
  <si>
    <t>2017-18</t>
  </si>
  <si>
    <t>DLOM 25%</t>
  </si>
  <si>
    <t>6th &amp; Onwards</t>
  </si>
  <si>
    <t xml:space="preserve">Business Valuation </t>
  </si>
  <si>
    <t>PVF (14%)</t>
  </si>
  <si>
    <t>2019-20</t>
  </si>
  <si>
    <t>PVF 14%</t>
  </si>
  <si>
    <t>PVF @ 14%</t>
  </si>
  <si>
    <t xml:space="preserve">Assumption: Normal Rate of Return </t>
  </si>
  <si>
    <t>Skilled Human Resources valuation</t>
  </si>
  <si>
    <t>2019-2020</t>
  </si>
  <si>
    <t>Cash flow from Operations to invested capital</t>
  </si>
  <si>
    <t>Followings can be added as a part of intangible assets</t>
  </si>
  <si>
    <t xml:space="preserve">say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</si>
</sst>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  <numFmt numFmtId="173" formatCode="0.000"/>
    <numFmt numFmtId="174" formatCode="0.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_(* #,##0_);_(* \(#,##0\);_(* &quot;-&quot;??_);_(@_)"/>
    <numFmt numFmtId="182" formatCode="0.0000000"/>
    <numFmt numFmtId="183" formatCode="0.000000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3" xfId="0" applyNumberForma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" fontId="0" fillId="0" borderId="13" xfId="0" applyNumberFormat="1" applyBorder="1" applyAlignment="1">
      <alignment vertical="center"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2" fontId="45" fillId="0" borderId="0" xfId="0" applyNumberFormat="1" applyFont="1" applyAlignment="1">
      <alignment vertical="center" wrapText="1"/>
    </xf>
    <xf numFmtId="0" fontId="24" fillId="0" borderId="13" xfId="0" applyFont="1" applyBorder="1" applyAlignment="1">
      <alignment/>
    </xf>
    <xf numFmtId="10" fontId="24" fillId="0" borderId="13" xfId="0" applyNumberFormat="1" applyFont="1" applyFill="1" applyBorder="1" applyAlignment="1">
      <alignment horizontal="center"/>
    </xf>
    <xf numFmtId="0" fontId="25" fillId="0" borderId="13" xfId="0" applyFont="1" applyBorder="1" applyAlignment="1">
      <alignment/>
    </xf>
    <xf numFmtId="10" fontId="25" fillId="0" borderId="13" xfId="0" applyNumberFormat="1" applyFont="1" applyFill="1" applyBorder="1" applyAlignment="1">
      <alignment horizontal="center"/>
    </xf>
    <xf numFmtId="9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9" fontId="0" fillId="0" borderId="13" xfId="59" applyFont="1" applyBorder="1" applyAlignment="1">
      <alignment vertical="center"/>
    </xf>
    <xf numFmtId="0" fontId="0" fillId="0" borderId="13" xfId="0" applyBorder="1" applyAlignment="1">
      <alignment vertical="center" wrapText="1"/>
    </xf>
    <xf numFmtId="2" fontId="1" fillId="0" borderId="11" xfId="0" applyNumberFormat="1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2" fontId="24" fillId="0" borderId="13" xfId="0" applyNumberFormat="1" applyFont="1" applyBorder="1" applyAlignment="1">
      <alignment vertical="center"/>
    </xf>
    <xf numFmtId="2" fontId="25" fillId="0" borderId="1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/>
    </xf>
    <xf numFmtId="9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9" fontId="24" fillId="0" borderId="0" xfId="0" applyNumberFormat="1" applyFont="1" applyAlignment="1">
      <alignment vertical="center"/>
    </xf>
    <xf numFmtId="0" fontId="0" fillId="0" borderId="13" xfId="0" applyFill="1" applyBorder="1" applyAlignment="1">
      <alignment/>
    </xf>
    <xf numFmtId="0" fontId="24" fillId="0" borderId="14" xfId="0" applyFont="1" applyFill="1" applyBorder="1" applyAlignment="1">
      <alignment horizont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Border="1" applyAlignment="1">
      <alignment vertical="center"/>
    </xf>
    <xf numFmtId="2" fontId="0" fillId="0" borderId="0" xfId="59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2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25" fillId="0" borderId="0" xfId="0" applyFont="1" applyBorder="1" applyAlignment="1">
      <alignment/>
    </xf>
    <xf numFmtId="10" fontId="25" fillId="0" borderId="0" xfId="59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1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59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G6" sqref="G6"/>
    </sheetView>
  </sheetViews>
  <sheetFormatPr defaultColWidth="9.140625" defaultRowHeight="12.75"/>
  <cols>
    <col min="1" max="1" width="6.421875" style="59" customWidth="1"/>
    <col min="2" max="2" width="39.57421875" style="59" bestFit="1" customWidth="1"/>
    <col min="3" max="3" width="9.57421875" style="59" bestFit="1" customWidth="1"/>
    <col min="4" max="16384" width="9.140625" style="59" customWidth="1"/>
  </cols>
  <sheetData>
    <row r="1" ht="14.25">
      <c r="B1" s="64" t="s">
        <v>104</v>
      </c>
    </row>
    <row r="2" spans="1:3" ht="14.25">
      <c r="A2" s="61"/>
      <c r="B2" s="60" t="s">
        <v>67</v>
      </c>
      <c r="C2" s="61"/>
    </row>
    <row r="3" spans="1:3" ht="14.25">
      <c r="A3" s="61" t="s">
        <v>103</v>
      </c>
      <c r="B3" s="61"/>
      <c r="C3" s="60" t="s">
        <v>42</v>
      </c>
    </row>
    <row r="4" spans="1:3" ht="14.25">
      <c r="A4" s="75"/>
      <c r="B4" s="61"/>
      <c r="C4" s="62"/>
    </row>
    <row r="5" spans="1:3" ht="14.25">
      <c r="A5" s="75">
        <v>1</v>
      </c>
      <c r="B5" s="61" t="s">
        <v>35</v>
      </c>
      <c r="C5" s="62">
        <f>+Goodwill!B30</f>
        <v>52.13564814814814</v>
      </c>
    </row>
    <row r="6" spans="1:3" ht="14.25">
      <c r="A6" s="75">
        <v>2</v>
      </c>
      <c r="B6" s="61" t="s">
        <v>34</v>
      </c>
      <c r="C6" s="62">
        <f>+'Trade Name'!B12</f>
        <v>57.10082774877582</v>
      </c>
    </row>
    <row r="7" spans="1:3" ht="14.25">
      <c r="A7" s="75">
        <v>3</v>
      </c>
      <c r="B7" s="61" t="s">
        <v>94</v>
      </c>
      <c r="C7" s="62">
        <f>+'Technical Know-how'!B10</f>
        <v>69.79428608730223</v>
      </c>
    </row>
    <row r="8" spans="1:3" ht="14.25">
      <c r="A8" s="75">
        <v>4</v>
      </c>
      <c r="B8" s="61" t="s">
        <v>49</v>
      </c>
      <c r="C8" s="62">
        <f>+'Customer Replacement Cost'!C13</f>
        <v>73.81730838770241</v>
      </c>
    </row>
    <row r="9" spans="1:3" ht="14.25">
      <c r="A9" s="75">
        <v>5</v>
      </c>
      <c r="B9" s="61" t="s">
        <v>89</v>
      </c>
      <c r="C9" s="62">
        <f>+'Non-compete'!B18</f>
        <v>305.08171587852917</v>
      </c>
    </row>
    <row r="10" spans="1:3" ht="14.25">
      <c r="A10" s="75"/>
      <c r="B10" s="61"/>
      <c r="C10" s="62"/>
    </row>
    <row r="11" spans="1:3" ht="14.25">
      <c r="A11" s="61"/>
      <c r="B11" s="61"/>
      <c r="C11" s="63">
        <f>SUM(C4:C9)</f>
        <v>557.9297862504577</v>
      </c>
    </row>
    <row r="12" spans="1:3" ht="14.25">
      <c r="A12" s="61"/>
      <c r="B12" s="61"/>
      <c r="C12" s="61"/>
    </row>
    <row r="13" ht="14.25">
      <c r="E13" s="64" t="s">
        <v>59</v>
      </c>
    </row>
    <row r="14" spans="2:5" ht="14.25">
      <c r="B14" s="65" t="s">
        <v>57</v>
      </c>
      <c r="C14" s="65" t="s">
        <v>55</v>
      </c>
      <c r="D14" s="65" t="s">
        <v>54</v>
      </c>
      <c r="E14" s="65" t="s">
        <v>56</v>
      </c>
    </row>
    <row r="15" spans="2:5" ht="14.25">
      <c r="B15" s="61" t="s">
        <v>52</v>
      </c>
      <c r="C15" s="62">
        <f>+'Basic Valuation'!I18</f>
        <v>1217.048783672773</v>
      </c>
      <c r="D15" s="66">
        <v>0.67</v>
      </c>
      <c r="E15" s="62">
        <f>+C15*D15</f>
        <v>815.4226850607579</v>
      </c>
    </row>
    <row r="16" spans="2:5" ht="14.25">
      <c r="B16" s="61" t="s">
        <v>53</v>
      </c>
      <c r="C16" s="62">
        <f>+C11</f>
        <v>557.9297862504577</v>
      </c>
      <c r="D16" s="66">
        <v>0.33</v>
      </c>
      <c r="E16" s="62">
        <f>+C16*D16</f>
        <v>184.11682946265105</v>
      </c>
    </row>
    <row r="17" spans="2:5" ht="14.25">
      <c r="B17" s="67" t="s">
        <v>58</v>
      </c>
      <c r="C17" s="61"/>
      <c r="D17" s="61"/>
      <c r="E17" s="62">
        <f>SUM(E15:E16)</f>
        <v>999.5395145234089</v>
      </c>
    </row>
    <row r="18" spans="2:5" ht="14.25" hidden="1">
      <c r="B18" s="61"/>
      <c r="C18" s="61"/>
      <c r="D18" s="61"/>
      <c r="E18" s="61"/>
    </row>
    <row r="19" spans="2:5" ht="14.25" hidden="1">
      <c r="B19" s="61"/>
      <c r="C19" s="61"/>
      <c r="D19" s="66"/>
      <c r="E19" s="62"/>
    </row>
    <row r="20" spans="2:5" ht="14.25">
      <c r="B20" s="61"/>
      <c r="C20" s="61"/>
      <c r="D20" s="66"/>
      <c r="E20" s="61"/>
    </row>
    <row r="21" spans="2:5" ht="14.25">
      <c r="B21" s="60" t="s">
        <v>115</v>
      </c>
      <c r="C21" s="61"/>
      <c r="D21" s="66"/>
      <c r="E21" s="63">
        <f>+E17-E19</f>
        <v>999.5395145234089</v>
      </c>
    </row>
    <row r="22" ht="14.25">
      <c r="D22" s="68"/>
    </row>
    <row r="23" ht="14.25">
      <c r="D23" s="68"/>
    </row>
    <row r="24" spans="2:4" ht="14.25">
      <c r="B24" s="64" t="s">
        <v>124</v>
      </c>
      <c r="D24" s="68"/>
    </row>
    <row r="25" ht="14.25">
      <c r="B25" s="59" t="s">
        <v>121</v>
      </c>
    </row>
    <row r="26" ht="14.25">
      <c r="B26" s="59" t="s">
        <v>95</v>
      </c>
    </row>
  </sheetData>
  <sheetProtection/>
  <printOptions/>
  <pageMargins left="0.32" right="0.24" top="0.75" bottom="0.75" header="0.3" footer="0.3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G67" sqref="G67"/>
    </sheetView>
  </sheetViews>
  <sheetFormatPr defaultColWidth="9.140625" defaultRowHeight="12.75"/>
  <cols>
    <col min="1" max="1" width="8.28125" style="0" customWidth="1"/>
    <col min="2" max="2" width="34.7109375" style="0" customWidth="1"/>
    <col min="3" max="3" width="8.57421875" style="0" bestFit="1" customWidth="1"/>
    <col min="4" max="4" width="8.140625" style="0" bestFit="1" customWidth="1"/>
    <col min="5" max="5" width="10.140625" style="0" bestFit="1" customWidth="1"/>
    <col min="6" max="6" width="10.421875" style="0" customWidth="1"/>
    <col min="7" max="7" width="7.7109375" style="0" bestFit="1" customWidth="1"/>
    <col min="8" max="8" width="10.421875" style="0" customWidth="1"/>
    <col min="9" max="9" width="8.57421875" style="0" bestFit="1" customWidth="1"/>
    <col min="10" max="10" width="7.57421875" style="0" customWidth="1"/>
    <col min="11" max="11" width="9.00390625" style="0" customWidth="1"/>
    <col min="20" max="20" width="9.28125" style="0" bestFit="1" customWidth="1"/>
  </cols>
  <sheetData>
    <row r="1" spans="1:11" ht="12.75">
      <c r="A1" s="93" t="s">
        <v>111</v>
      </c>
      <c r="B1" s="93"/>
      <c r="C1" s="93"/>
      <c r="D1" s="93"/>
      <c r="E1" s="93"/>
      <c r="F1" s="93"/>
      <c r="G1" s="93"/>
      <c r="H1" s="5"/>
      <c r="I1" s="5"/>
      <c r="J1" s="5"/>
      <c r="K1" s="5"/>
    </row>
    <row r="2" spans="1:9" ht="26.25">
      <c r="A2" s="3"/>
      <c r="B2" s="5"/>
      <c r="C2" s="6" t="str">
        <f>+'Trade Name'!B3</f>
        <v>2015-16</v>
      </c>
      <c r="D2" s="6" t="str">
        <f>+'Trade Name'!C3</f>
        <v>2016-17</v>
      </c>
      <c r="E2" s="6" t="str">
        <f>+'Trade Name'!D3</f>
        <v>2017-18</v>
      </c>
      <c r="F2" s="6" t="s">
        <v>87</v>
      </c>
      <c r="G2" s="6" t="s">
        <v>122</v>
      </c>
      <c r="H2" s="85" t="s">
        <v>114</v>
      </c>
      <c r="I2" s="6" t="s">
        <v>0</v>
      </c>
    </row>
    <row r="3" spans="1:9" ht="12.75">
      <c r="A3" s="13" t="s">
        <v>9</v>
      </c>
      <c r="B3" s="3" t="s">
        <v>10</v>
      </c>
      <c r="C3" s="4">
        <f>+C50</f>
        <v>33.04114046</v>
      </c>
      <c r="D3" s="4">
        <f>+D50</f>
        <v>79.72977880000002</v>
      </c>
      <c r="E3" s="4">
        <f>+E50</f>
        <v>168.15455336000002</v>
      </c>
      <c r="F3" s="4">
        <f>+F50</f>
        <v>247.03380875000002</v>
      </c>
      <c r="G3" s="4">
        <f>+G50</f>
        <v>332.0269418125</v>
      </c>
      <c r="H3" s="4">
        <f>(G3*1.03)/(0.14-0.03)</f>
        <v>3108.9795460625</v>
      </c>
      <c r="I3" s="14"/>
    </row>
    <row r="4" spans="1:9" ht="12.75">
      <c r="A4" s="13"/>
      <c r="B4" s="3"/>
      <c r="C4" s="3"/>
      <c r="D4" s="3"/>
      <c r="E4" s="3"/>
      <c r="F4" s="3"/>
      <c r="G4" s="3"/>
      <c r="H4" s="3"/>
      <c r="I4" s="3"/>
    </row>
    <row r="5" spans="1:9" ht="12.75">
      <c r="A5" s="13" t="s">
        <v>11</v>
      </c>
      <c r="B5" s="3" t="s">
        <v>98</v>
      </c>
      <c r="C5" s="4">
        <v>0</v>
      </c>
      <c r="D5" s="4">
        <v>200</v>
      </c>
      <c r="E5" s="4">
        <v>0</v>
      </c>
      <c r="F5" s="4">
        <v>200</v>
      </c>
      <c r="G5" s="4">
        <v>0</v>
      </c>
      <c r="H5" s="4">
        <f>+H3*0.15</f>
        <v>466.346931909375</v>
      </c>
      <c r="I5" s="14"/>
    </row>
    <row r="6" spans="1:9" ht="12.75">
      <c r="A6" s="13"/>
      <c r="B6" s="3"/>
      <c r="C6" s="3"/>
      <c r="D6" s="3"/>
      <c r="E6" s="3"/>
      <c r="F6" s="3"/>
      <c r="G6" s="3"/>
      <c r="H6" s="3"/>
      <c r="I6" s="3"/>
    </row>
    <row r="7" spans="1:9" ht="12.75">
      <c r="A7" s="13" t="s">
        <v>12</v>
      </c>
      <c r="B7" s="3" t="s">
        <v>13</v>
      </c>
      <c r="C7" s="4">
        <f aca="true" t="shared" si="0" ref="C7:H7">+C3-C5</f>
        <v>33.04114046</v>
      </c>
      <c r="D7" s="4">
        <f t="shared" si="0"/>
        <v>-120.27022119999998</v>
      </c>
      <c r="E7" s="4">
        <f t="shared" si="0"/>
        <v>168.15455336000002</v>
      </c>
      <c r="F7" s="4">
        <f t="shared" si="0"/>
        <v>47.03380875000002</v>
      </c>
      <c r="G7" s="4">
        <f t="shared" si="0"/>
        <v>332.0269418125</v>
      </c>
      <c r="H7" s="4">
        <f t="shared" si="0"/>
        <v>2642.632614153125</v>
      </c>
      <c r="I7" s="14"/>
    </row>
    <row r="8" spans="1:9" ht="12.75">
      <c r="A8" s="13" t="s">
        <v>14</v>
      </c>
      <c r="B8" s="3" t="s">
        <v>105</v>
      </c>
      <c r="C8" s="4">
        <f>1/1.14</f>
        <v>0.8771929824561404</v>
      </c>
      <c r="D8" s="4">
        <f>+C8/1.14</f>
        <v>0.7694675284702986</v>
      </c>
      <c r="E8" s="4">
        <f>+D8/1.14</f>
        <v>0.6749715162020165</v>
      </c>
      <c r="F8" s="4">
        <f>+E8/1.14</f>
        <v>0.5920802773701899</v>
      </c>
      <c r="G8" s="4">
        <f>+F8/1.14</f>
        <v>0.5193686643598158</v>
      </c>
      <c r="H8" s="4">
        <f>+G8</f>
        <v>0.5193686643598158</v>
      </c>
      <c r="I8" s="3"/>
    </row>
    <row r="9" spans="1:9" ht="12.75">
      <c r="A9" s="13"/>
      <c r="B9" s="3"/>
      <c r="C9" s="15"/>
      <c r="D9" s="15"/>
      <c r="E9" s="15"/>
      <c r="F9" s="15"/>
      <c r="G9" s="15"/>
      <c r="H9" s="15"/>
      <c r="I9" s="3"/>
    </row>
    <row r="10" spans="1:21" ht="12.75">
      <c r="A10" s="13" t="s">
        <v>15</v>
      </c>
      <c r="B10" s="3" t="s">
        <v>16</v>
      </c>
      <c r="C10" s="14">
        <f aca="true" t="shared" si="1" ref="C10:H10">+C7*C8</f>
        <v>28.983456543859653</v>
      </c>
      <c r="D10" s="14">
        <f t="shared" si="1"/>
        <v>-92.5440298553401</v>
      </c>
      <c r="E10" s="14">
        <f t="shared" si="1"/>
        <v>113.49953383767209</v>
      </c>
      <c r="F10" s="14">
        <f t="shared" si="1"/>
        <v>27.847790530476473</v>
      </c>
      <c r="G10" s="14">
        <f t="shared" si="1"/>
        <v>172.4443893006324</v>
      </c>
      <c r="H10" s="14">
        <f t="shared" si="1"/>
        <v>1372.500571206397</v>
      </c>
      <c r="I10" s="14">
        <f>SUM(C10:H10)</f>
        <v>1622.7317115636974</v>
      </c>
      <c r="K10" s="1"/>
      <c r="L10" s="1"/>
      <c r="M10" s="77"/>
      <c r="N10" s="78"/>
      <c r="O10" s="78"/>
      <c r="P10" s="79"/>
      <c r="Q10" s="78"/>
      <c r="R10" s="79"/>
      <c r="S10" s="79"/>
      <c r="T10" s="79"/>
      <c r="U10" s="77"/>
    </row>
    <row r="11" spans="1:21" ht="12.75">
      <c r="A11" s="13"/>
      <c r="B11" s="3"/>
      <c r="C11" s="3"/>
      <c r="D11" s="3"/>
      <c r="E11" s="3"/>
      <c r="F11" s="3"/>
      <c r="G11" s="3"/>
      <c r="H11" s="14"/>
      <c r="I11" s="3"/>
      <c r="M11" s="77"/>
      <c r="N11" s="80"/>
      <c r="O11" s="80"/>
      <c r="P11" s="77"/>
      <c r="Q11" s="80"/>
      <c r="R11" s="81"/>
      <c r="S11" s="82"/>
      <c r="T11" s="82"/>
      <c r="U11" s="77"/>
    </row>
    <row r="12" spans="1:21" ht="12.75">
      <c r="A12" s="13"/>
      <c r="B12" s="3"/>
      <c r="C12" s="3"/>
      <c r="D12" s="3"/>
      <c r="E12" s="3"/>
      <c r="F12" s="3"/>
      <c r="G12" s="3"/>
      <c r="H12" s="14"/>
      <c r="I12" s="14"/>
      <c r="M12" s="77"/>
      <c r="N12" s="77"/>
      <c r="O12" s="77"/>
      <c r="P12" s="77"/>
      <c r="Q12" s="77"/>
      <c r="R12" s="77"/>
      <c r="S12" s="77"/>
      <c r="T12" s="77"/>
      <c r="U12" s="77"/>
    </row>
    <row r="13" spans="1:21" ht="12.75">
      <c r="A13" s="13"/>
      <c r="B13" s="3"/>
      <c r="C13" s="3"/>
      <c r="D13" s="3"/>
      <c r="E13" s="3"/>
      <c r="F13" s="3"/>
      <c r="G13" s="3"/>
      <c r="H13" s="3"/>
      <c r="I13" s="3"/>
      <c r="M13" s="77"/>
      <c r="N13" s="80"/>
      <c r="O13" s="80"/>
      <c r="P13" s="82"/>
      <c r="Q13" s="80"/>
      <c r="R13" s="81"/>
      <c r="S13" s="82"/>
      <c r="T13" s="82"/>
      <c r="U13" s="77"/>
    </row>
    <row r="14" spans="1:21" ht="13.5" thickBot="1">
      <c r="A14" s="16" t="s">
        <v>17</v>
      </c>
      <c r="B14" s="12" t="s">
        <v>106</v>
      </c>
      <c r="C14" s="7"/>
      <c r="D14" s="7"/>
      <c r="E14" s="7"/>
      <c r="F14" s="7"/>
      <c r="G14" s="7"/>
      <c r="H14" s="7"/>
      <c r="I14" s="8">
        <f>+I10+I12</f>
        <v>1622.7317115636974</v>
      </c>
      <c r="M14" s="77"/>
      <c r="N14" s="77"/>
      <c r="O14" s="77"/>
      <c r="P14" s="77"/>
      <c r="Q14" s="77"/>
      <c r="R14" s="77"/>
      <c r="S14" s="77"/>
      <c r="T14" s="77"/>
      <c r="U14" s="77"/>
    </row>
    <row r="15" spans="1:9" ht="13.5" thickTop="1">
      <c r="A15" s="13"/>
      <c r="B15" s="3"/>
      <c r="C15" s="3"/>
      <c r="D15" s="3"/>
      <c r="E15" s="3"/>
      <c r="F15" s="3"/>
      <c r="G15" s="3"/>
      <c r="H15" s="3"/>
      <c r="I15" s="3"/>
    </row>
    <row r="16" spans="1:9" ht="12.75">
      <c r="A16" s="13"/>
      <c r="B16" s="3" t="s">
        <v>113</v>
      </c>
      <c r="C16" s="3"/>
      <c r="D16" s="3"/>
      <c r="E16" s="3"/>
      <c r="F16" s="3"/>
      <c r="G16" s="3"/>
      <c r="H16" s="3"/>
      <c r="I16" s="4">
        <f>+I14*0.25</f>
        <v>405.68292789092436</v>
      </c>
    </row>
    <row r="17" spans="1:9" ht="12.75">
      <c r="A17" s="13"/>
      <c r="B17" s="3"/>
      <c r="C17" s="3"/>
      <c r="D17" s="3"/>
      <c r="E17" s="3"/>
      <c r="F17" s="3"/>
      <c r="G17" s="3"/>
      <c r="H17" s="3"/>
      <c r="I17" s="4"/>
    </row>
    <row r="18" spans="1:9" ht="13.5" thickBot="1">
      <c r="A18" s="13"/>
      <c r="B18" s="12" t="s">
        <v>18</v>
      </c>
      <c r="C18" s="7"/>
      <c r="D18" s="7"/>
      <c r="E18" s="7"/>
      <c r="F18" s="7"/>
      <c r="G18" s="7"/>
      <c r="H18" s="7"/>
      <c r="I18" s="83">
        <f>+I14-I16</f>
        <v>1217.048783672773</v>
      </c>
    </row>
    <row r="19" spans="1:11" ht="13.5" thickTop="1">
      <c r="A19" s="1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2.75">
      <c r="A20" s="1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2.75">
      <c r="A21" s="13" t="s">
        <v>9</v>
      </c>
      <c r="B21" s="5" t="s">
        <v>19</v>
      </c>
      <c r="C21" s="6" t="str">
        <f>+C2</f>
        <v>2015-16</v>
      </c>
      <c r="D21" s="6" t="str">
        <f>+D2</f>
        <v>2016-17</v>
      </c>
      <c r="E21" s="6" t="str">
        <f>+E2</f>
        <v>2017-18</v>
      </c>
      <c r="F21" s="6" t="s">
        <v>87</v>
      </c>
      <c r="G21" s="6" t="s">
        <v>117</v>
      </c>
      <c r="H21" s="6"/>
      <c r="I21" s="6"/>
      <c r="J21" s="6"/>
      <c r="K21" s="3"/>
    </row>
    <row r="22" spans="1:11" ht="12.75">
      <c r="A22" s="13"/>
      <c r="B22" s="3" t="s">
        <v>20</v>
      </c>
      <c r="C22" s="4">
        <f>+'Trade Name'!B5</f>
        <v>58.679334000000004</v>
      </c>
      <c r="D22" s="4">
        <f>+'Trade Name'!C5</f>
        <v>130.39852000000002</v>
      </c>
      <c r="E22" s="4">
        <f>+'Trade Name'!D5</f>
        <v>286.87674400000003</v>
      </c>
      <c r="F22" s="4">
        <f>+'Trade Name'!E5</f>
        <v>407.495375</v>
      </c>
      <c r="G22" s="4">
        <f>+'Trade Name'!F5</f>
        <v>550.11875625</v>
      </c>
      <c r="H22" s="17"/>
      <c r="I22" s="17"/>
      <c r="J22" s="17"/>
      <c r="K22" s="3"/>
    </row>
    <row r="23" spans="1:11" ht="12.75">
      <c r="A23" s="13"/>
      <c r="B23" s="3" t="s">
        <v>96</v>
      </c>
      <c r="C23" s="4">
        <v>13.04</v>
      </c>
      <c r="D23" s="4">
        <v>26.08</v>
      </c>
      <c r="E23" s="4">
        <v>52.16</v>
      </c>
      <c r="F23" s="4">
        <v>65.2</v>
      </c>
      <c r="G23" s="4">
        <v>81.5</v>
      </c>
      <c r="H23" s="17"/>
      <c r="I23" s="17"/>
      <c r="J23" s="17"/>
      <c r="K23" s="3"/>
    </row>
    <row r="24" spans="1:11" ht="12.75">
      <c r="A24" s="13"/>
      <c r="B24" s="3" t="s">
        <v>97</v>
      </c>
      <c r="C24" s="4">
        <v>5</v>
      </c>
      <c r="D24" s="4">
        <v>25</v>
      </c>
      <c r="E24" s="4">
        <v>20</v>
      </c>
      <c r="F24" s="4">
        <v>35</v>
      </c>
      <c r="G24" s="4">
        <v>28</v>
      </c>
      <c r="H24" s="17"/>
      <c r="I24" s="17"/>
      <c r="J24" s="17"/>
      <c r="K24" s="3"/>
    </row>
    <row r="25" spans="1:11" ht="12.75">
      <c r="A25" s="13"/>
      <c r="B25" s="3" t="s">
        <v>65</v>
      </c>
      <c r="C25" s="4">
        <f>+C22-C23-C24</f>
        <v>40.639334000000005</v>
      </c>
      <c r="D25" s="4">
        <f>+D22-D23-D24</f>
        <v>79.31852000000002</v>
      </c>
      <c r="E25" s="4">
        <f>+E22-E23-E24</f>
        <v>214.71674400000003</v>
      </c>
      <c r="F25" s="4">
        <f>+F22-F23-F24</f>
        <v>307.29537500000004</v>
      </c>
      <c r="G25" s="4">
        <f>+G22-G23-G24</f>
        <v>440.61875625000005</v>
      </c>
      <c r="H25" s="17"/>
      <c r="I25" s="17"/>
      <c r="J25" s="17"/>
      <c r="K25" s="3"/>
    </row>
    <row r="26" spans="1:11" ht="12.75">
      <c r="A26" s="13"/>
      <c r="B26" s="11" t="s">
        <v>21</v>
      </c>
      <c r="C26" s="4">
        <f>+C25*0.31</f>
        <v>12.598193540000002</v>
      </c>
      <c r="D26" s="4">
        <f>+D25*0.31</f>
        <v>24.588741200000005</v>
      </c>
      <c r="E26" s="4">
        <f>+E25*0.31</f>
        <v>66.56219064000001</v>
      </c>
      <c r="F26" s="4">
        <f>+F25*0.31</f>
        <v>95.26156625000002</v>
      </c>
      <c r="G26" s="4">
        <f>+G25*0.31</f>
        <v>136.5918144375</v>
      </c>
      <c r="H26" s="4"/>
      <c r="I26" s="4"/>
      <c r="J26" s="4"/>
      <c r="K26" s="3"/>
    </row>
    <row r="27" spans="1:11" ht="13.5" thickBot="1">
      <c r="A27" s="13"/>
      <c r="B27" s="5" t="s">
        <v>66</v>
      </c>
      <c r="C27" s="8">
        <f>+C25-C26</f>
        <v>28.04114046</v>
      </c>
      <c r="D27" s="8">
        <f>+D25-D26</f>
        <v>54.72977880000002</v>
      </c>
      <c r="E27" s="8">
        <f>+E25-E26</f>
        <v>148.15455336000002</v>
      </c>
      <c r="F27" s="8">
        <f>+F25-F26</f>
        <v>212.03380875000002</v>
      </c>
      <c r="G27" s="8">
        <f>+G25-G26</f>
        <v>304.0269418125</v>
      </c>
      <c r="H27" s="33"/>
      <c r="I27" s="33"/>
      <c r="J27" s="33"/>
      <c r="K27" s="3"/>
    </row>
    <row r="28" spans="1:11" ht="13.5" thickTop="1">
      <c r="A28" s="13"/>
      <c r="B28" s="46"/>
      <c r="C28" s="3"/>
      <c r="D28" s="3"/>
      <c r="E28" s="3"/>
      <c r="F28" s="3"/>
      <c r="G28" s="3"/>
      <c r="H28" s="3"/>
      <c r="I28" s="3"/>
      <c r="J28" s="3"/>
      <c r="K28" s="3"/>
    </row>
    <row r="29" spans="1:11" ht="12.75" hidden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 hidden="1">
      <c r="A30" s="13" t="s">
        <v>11</v>
      </c>
      <c r="B30" s="5" t="s">
        <v>22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2.75" hidden="1">
      <c r="A31" s="3"/>
      <c r="B31" s="5" t="s">
        <v>23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 hidden="1">
      <c r="A33" s="3"/>
      <c r="B33" s="3" t="s">
        <v>24</v>
      </c>
      <c r="C33" s="3">
        <f>10+C34</f>
        <v>25</v>
      </c>
      <c r="D33" s="3">
        <f>+D34</f>
        <v>25</v>
      </c>
      <c r="E33" s="3">
        <f>+E34+10</f>
        <v>35</v>
      </c>
      <c r="F33" s="3"/>
      <c r="G33" s="3"/>
      <c r="H33" s="3"/>
      <c r="I33" s="3"/>
      <c r="J33" s="3"/>
      <c r="K33" s="3"/>
    </row>
    <row r="34" spans="1:11" ht="12.75" hidden="1">
      <c r="A34" s="3"/>
      <c r="B34" s="3" t="s">
        <v>25</v>
      </c>
      <c r="C34" s="3">
        <v>15</v>
      </c>
      <c r="D34" s="3">
        <f>+C33</f>
        <v>25</v>
      </c>
      <c r="E34" s="3">
        <f>+D33</f>
        <v>25</v>
      </c>
      <c r="F34" s="3"/>
      <c r="G34" s="3"/>
      <c r="H34" s="3"/>
      <c r="I34" s="3"/>
      <c r="J34" s="3"/>
      <c r="K34" s="3"/>
    </row>
    <row r="35" spans="1:11" ht="12.75" hidden="1">
      <c r="A35" s="3"/>
      <c r="B35" s="3"/>
      <c r="C35" s="10">
        <f>+C33-C34</f>
        <v>10</v>
      </c>
      <c r="D35" s="10">
        <f>+D33-D34</f>
        <v>0</v>
      </c>
      <c r="E35" s="10">
        <f>+E33-E34</f>
        <v>10</v>
      </c>
      <c r="F35" s="10">
        <f>+F33-F34</f>
        <v>0</v>
      </c>
      <c r="G35" s="31"/>
      <c r="H35" s="31"/>
      <c r="I35" s="31"/>
      <c r="J35" s="31"/>
      <c r="K35" s="3"/>
    </row>
    <row r="36" spans="1:11" ht="12.7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 hidden="1">
      <c r="A37" s="18" t="s">
        <v>26</v>
      </c>
      <c r="B37" s="3" t="s">
        <v>27</v>
      </c>
      <c r="C37" s="4">
        <f>+C38*1.1</f>
        <v>103.06999999999996</v>
      </c>
      <c r="D37" s="4">
        <f>+D38*1.1</f>
        <v>113.37699999999997</v>
      </c>
      <c r="E37" s="4">
        <f>+E38*1.05</f>
        <v>119.04584999999997</v>
      </c>
      <c r="F37" s="4" t="e">
        <f>+F38*1.05</f>
        <v>#REF!</v>
      </c>
      <c r="G37" s="3"/>
      <c r="H37" s="3"/>
      <c r="I37" s="3"/>
      <c r="J37" s="3"/>
      <c r="K37" s="3"/>
    </row>
    <row r="38" spans="1:11" ht="12.75" hidden="1">
      <c r="A38" s="18"/>
      <c r="B38" s="3" t="s">
        <v>28</v>
      </c>
      <c r="C38" s="4">
        <f>153.41+33.76+79.63+2.89-40.39-132.98-2.62</f>
        <v>93.69999999999996</v>
      </c>
      <c r="D38" s="4">
        <f>+C37</f>
        <v>103.06999999999996</v>
      </c>
      <c r="E38" s="4">
        <f>+D37</f>
        <v>113.37699999999997</v>
      </c>
      <c r="F38" s="4" t="e">
        <f>+#REF!</f>
        <v>#REF!</v>
      </c>
      <c r="G38" s="3"/>
      <c r="H38" s="3"/>
      <c r="I38" s="3"/>
      <c r="J38" s="3"/>
      <c r="K38" s="3"/>
    </row>
    <row r="39" spans="1:11" ht="12.75" hidden="1">
      <c r="A39" s="18"/>
      <c r="B39" s="3"/>
      <c r="C39" s="58">
        <f>+C37-C38</f>
        <v>9.370000000000005</v>
      </c>
      <c r="D39" s="58">
        <f>+D37-D38</f>
        <v>10.307000000000002</v>
      </c>
      <c r="E39" s="58">
        <f>+E37-E38</f>
        <v>5.668850000000006</v>
      </c>
      <c r="F39" s="58" t="e">
        <f>+F37-F38</f>
        <v>#REF!</v>
      </c>
      <c r="G39" s="31"/>
      <c r="H39" s="31"/>
      <c r="I39" s="31"/>
      <c r="J39" s="31"/>
      <c r="K39" s="3"/>
    </row>
    <row r="40" spans="1:11" ht="12.75" hidden="1">
      <c r="A40" s="18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 hidden="1">
      <c r="A41" s="18" t="s">
        <v>26</v>
      </c>
      <c r="B41" s="3" t="s">
        <v>29</v>
      </c>
      <c r="C41" s="3">
        <v>0</v>
      </c>
      <c r="D41" s="3">
        <v>0</v>
      </c>
      <c r="E41" s="3">
        <v>0</v>
      </c>
      <c r="F41" s="3"/>
      <c r="G41" s="3"/>
      <c r="H41" s="3"/>
      <c r="I41" s="3"/>
      <c r="J41" s="3"/>
      <c r="K41" s="3"/>
    </row>
    <row r="42" spans="1:11" ht="12.75" hidden="1">
      <c r="A42" s="18"/>
      <c r="B42" s="3" t="s">
        <v>30</v>
      </c>
      <c r="C42" s="3">
        <v>0</v>
      </c>
      <c r="D42" s="3">
        <f>+C41</f>
        <v>0</v>
      </c>
      <c r="E42" s="3">
        <f>+D41</f>
        <v>0</v>
      </c>
      <c r="F42" s="3"/>
      <c r="G42" s="3"/>
      <c r="H42" s="3"/>
      <c r="I42" s="3"/>
      <c r="J42" s="3"/>
      <c r="K42" s="3"/>
    </row>
    <row r="43" spans="1:11" ht="12.75" hidden="1">
      <c r="A43" s="18"/>
      <c r="B43" s="3"/>
      <c r="C43" s="10">
        <f>+C41-C42</f>
        <v>0</v>
      </c>
      <c r="D43" s="10">
        <f>+D41-D42</f>
        <v>0</v>
      </c>
      <c r="E43" s="10">
        <f>+E41-E42</f>
        <v>0</v>
      </c>
      <c r="F43" s="10">
        <f>+F41-F42</f>
        <v>0</v>
      </c>
      <c r="G43" s="31"/>
      <c r="H43" s="31"/>
      <c r="I43" s="31"/>
      <c r="J43" s="31"/>
      <c r="K43" s="3"/>
    </row>
    <row r="44" spans="1:11" ht="12.75" hidden="1">
      <c r="A44" s="18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 hidden="1">
      <c r="A45" s="18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3.5" hidden="1" thickBot="1">
      <c r="A47" s="3"/>
      <c r="B47" s="12" t="s">
        <v>31</v>
      </c>
      <c r="C47" s="8">
        <f>+C35+C39+C43-C45</f>
        <v>19.370000000000005</v>
      </c>
      <c r="D47" s="8">
        <f>+D35+D39+D43-D45</f>
        <v>10.307000000000002</v>
      </c>
      <c r="E47" s="8">
        <f>+E35+E39+E43-E45</f>
        <v>15.668850000000006</v>
      </c>
      <c r="F47" s="8" t="e">
        <f>+F35+F39+F43-F45</f>
        <v>#REF!</v>
      </c>
      <c r="G47" s="31"/>
      <c r="H47" s="31"/>
      <c r="I47" s="31"/>
      <c r="J47" s="31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7" ht="12.75">
      <c r="B49" t="s">
        <v>99</v>
      </c>
      <c r="C49" s="1">
        <f>+C24</f>
        <v>5</v>
      </c>
      <c r="D49" s="1">
        <f>+D24</f>
        <v>25</v>
      </c>
      <c r="E49" s="1">
        <f>+E24</f>
        <v>20</v>
      </c>
      <c r="F49" s="1">
        <f>+F24</f>
        <v>35</v>
      </c>
      <c r="G49" s="1">
        <f>+G24</f>
        <v>28</v>
      </c>
    </row>
    <row r="50" spans="2:7" ht="27" thickBot="1">
      <c r="B50" s="92" t="s">
        <v>123</v>
      </c>
      <c r="C50" s="71">
        <f>+C27-C48+C49</f>
        <v>33.04114046</v>
      </c>
      <c r="D50" s="71">
        <f>+D27-D48+D49</f>
        <v>79.72977880000002</v>
      </c>
      <c r="E50" s="71">
        <f>+E27-E48+E49</f>
        <v>168.15455336000002</v>
      </c>
      <c r="F50" s="71">
        <f>+F27-F48+F49</f>
        <v>247.03380875000002</v>
      </c>
      <c r="G50" s="71">
        <f>+G27-G48+G49</f>
        <v>332.0269418125</v>
      </c>
    </row>
    <row r="51" spans="2:3" ht="15" hidden="1" thickTop="1">
      <c r="B51" s="48" t="s">
        <v>69</v>
      </c>
      <c r="C51" s="70">
        <v>1</v>
      </c>
    </row>
    <row r="52" spans="2:3" ht="15" hidden="1" thickTop="1">
      <c r="B52" s="48" t="s">
        <v>70</v>
      </c>
      <c r="C52" s="49">
        <v>0.06</v>
      </c>
    </row>
    <row r="53" spans="2:3" ht="15" hidden="1" thickTop="1">
      <c r="B53" s="48" t="s">
        <v>71</v>
      </c>
      <c r="C53" s="49">
        <v>0.12</v>
      </c>
    </row>
    <row r="54" spans="2:3" ht="15" hidden="1" thickTop="1">
      <c r="B54" s="48" t="s">
        <v>72</v>
      </c>
      <c r="C54" s="49">
        <v>0.35</v>
      </c>
    </row>
    <row r="55" spans="2:3" ht="15" hidden="1" thickTop="1">
      <c r="B55" s="48" t="s">
        <v>73</v>
      </c>
      <c r="C55" s="49">
        <v>0.14</v>
      </c>
    </row>
    <row r="56" spans="2:3" ht="15" hidden="1" thickTop="1">
      <c r="B56" s="48" t="s">
        <v>74</v>
      </c>
      <c r="C56" s="49">
        <v>0.315</v>
      </c>
    </row>
    <row r="57" spans="2:3" ht="15" hidden="1" thickTop="1">
      <c r="B57" s="48"/>
      <c r="C57" s="49"/>
    </row>
    <row r="58" spans="2:3" ht="15" hidden="1" thickTop="1">
      <c r="B58" s="50" t="s">
        <v>75</v>
      </c>
      <c r="C58" s="51">
        <f>((C52+C51*C53)*(1-C54)+C55*(1-C56)*C54)</f>
        <v>0.150565</v>
      </c>
    </row>
    <row r="59" ht="13.5" hidden="1" thickTop="1"/>
    <row r="60" ht="13.5" thickTop="1"/>
    <row r="63" spans="2:3" ht="14.25">
      <c r="B63" s="48" t="s">
        <v>69</v>
      </c>
      <c r="C63" s="76">
        <v>1.25</v>
      </c>
    </row>
    <row r="64" spans="2:3" ht="14.25">
      <c r="B64" s="48" t="s">
        <v>70</v>
      </c>
      <c r="C64" s="49">
        <v>0.08</v>
      </c>
    </row>
    <row r="65" spans="2:3" ht="14.25">
      <c r="B65" s="48" t="s">
        <v>71</v>
      </c>
      <c r="C65" s="49">
        <v>0.105</v>
      </c>
    </row>
    <row r="66" spans="2:3" ht="14.25">
      <c r="B66" s="48" t="s">
        <v>72</v>
      </c>
      <c r="C66" s="49">
        <v>0.6</v>
      </c>
    </row>
    <row r="67" spans="2:3" ht="14.25">
      <c r="B67" s="48" t="s">
        <v>73</v>
      </c>
      <c r="C67" s="49">
        <v>0.135</v>
      </c>
    </row>
    <row r="68" spans="2:3" ht="14.25">
      <c r="B68" s="48" t="s">
        <v>74</v>
      </c>
      <c r="C68" s="49">
        <v>0.31</v>
      </c>
    </row>
    <row r="69" spans="2:3" ht="14.25">
      <c r="B69" s="48"/>
      <c r="C69" s="49"/>
    </row>
    <row r="70" spans="2:3" ht="14.25">
      <c r="B70" s="50" t="s">
        <v>75</v>
      </c>
      <c r="C70" s="51">
        <f>((C64+C63*C65)*(1-C66)+C67*(1-C68)*C66)</f>
        <v>0.14039000000000001</v>
      </c>
    </row>
    <row r="71" spans="2:3" ht="14.25">
      <c r="B71" s="86" t="s">
        <v>125</v>
      </c>
      <c r="C71" s="87">
        <v>0.14</v>
      </c>
    </row>
    <row r="74" spans="2:11" ht="12.75">
      <c r="B74" s="34"/>
      <c r="C74" s="73" t="s">
        <v>86</v>
      </c>
      <c r="D74" s="73" t="s">
        <v>85</v>
      </c>
      <c r="E74" s="73" t="s">
        <v>60</v>
      </c>
      <c r="F74" s="73" t="s">
        <v>62</v>
      </c>
      <c r="G74" s="73" t="s">
        <v>63</v>
      </c>
      <c r="H74" s="73" t="s">
        <v>64</v>
      </c>
      <c r="I74" s="73" t="s">
        <v>112</v>
      </c>
      <c r="J74" s="73" t="s">
        <v>87</v>
      </c>
      <c r="K74" s="73" t="s">
        <v>122</v>
      </c>
    </row>
    <row r="75" spans="2:11" ht="12.75">
      <c r="B75" s="34" t="s">
        <v>61</v>
      </c>
      <c r="C75" s="36">
        <v>121.54</v>
      </c>
      <c r="D75" s="36">
        <v>279.77</v>
      </c>
      <c r="E75" s="36">
        <v>278.79</v>
      </c>
      <c r="F75" s="36">
        <v>245.11</v>
      </c>
      <c r="G75" s="36">
        <f>+F75*1.33</f>
        <v>325.9963</v>
      </c>
      <c r="H75" s="36">
        <f>+G75*2</f>
        <v>651.9926</v>
      </c>
      <c r="I75" s="36">
        <f>+H75*2</f>
        <v>1303.9852</v>
      </c>
      <c r="J75" s="36">
        <f>+I75*1.25</f>
        <v>1629.9815</v>
      </c>
      <c r="K75" s="36">
        <f>+J75*1.25</f>
        <v>2037.476875</v>
      </c>
    </row>
    <row r="76" spans="2:11" ht="12.75">
      <c r="B76" s="34" t="s">
        <v>88</v>
      </c>
      <c r="C76" s="36">
        <v>18.71</v>
      </c>
      <c r="D76" s="36">
        <v>20.57</v>
      </c>
      <c r="E76" s="36">
        <v>37.25</v>
      </c>
      <c r="F76" s="36">
        <v>38.800000000000004</v>
      </c>
      <c r="G76" s="36">
        <f>+G75*0.18</f>
        <v>58.679334000000004</v>
      </c>
      <c r="H76" s="36">
        <f>+H75*0.2</f>
        <v>130.39852000000002</v>
      </c>
      <c r="I76" s="36">
        <f>+I75*0.22</f>
        <v>286.87674400000003</v>
      </c>
      <c r="J76" s="36">
        <f>+J75*0.25</f>
        <v>407.495375</v>
      </c>
      <c r="K76" s="36">
        <f>+K75*0.27</f>
        <v>550.11875625</v>
      </c>
    </row>
    <row r="77" spans="2:11" ht="12.75">
      <c r="B77" s="34" t="s">
        <v>107</v>
      </c>
      <c r="C77" s="35"/>
      <c r="D77" s="56">
        <f>+D75/C75-1</f>
        <v>1.3018759256211943</v>
      </c>
      <c r="E77" s="56">
        <f>+E75/D75-1</f>
        <v>-0.0035028773635484844</v>
      </c>
      <c r="F77" s="56">
        <f>+F75/E75-1</f>
        <v>-0.12080777646257046</v>
      </c>
      <c r="G77" s="56">
        <v>0.33</v>
      </c>
      <c r="H77" s="56">
        <v>1</v>
      </c>
      <c r="I77" s="56">
        <v>1</v>
      </c>
      <c r="J77" s="56">
        <v>0.25</v>
      </c>
      <c r="K77" s="56">
        <v>0.25</v>
      </c>
    </row>
    <row r="78" spans="2:11" ht="12.75">
      <c r="B78" s="34" t="s">
        <v>108</v>
      </c>
      <c r="C78" s="56">
        <f>+C76/C75</f>
        <v>0.15394108935329934</v>
      </c>
      <c r="D78" s="56">
        <f aca="true" t="shared" si="2" ref="D78:I78">+D76/D75</f>
        <v>0.0735246809879544</v>
      </c>
      <c r="E78" s="56">
        <f t="shared" si="2"/>
        <v>0.13361311381326446</v>
      </c>
      <c r="F78" s="56">
        <f t="shared" si="2"/>
        <v>0.15829627514177308</v>
      </c>
      <c r="G78" s="56">
        <f t="shared" si="2"/>
        <v>0.18</v>
      </c>
      <c r="H78" s="56">
        <f t="shared" si="2"/>
        <v>0.2</v>
      </c>
      <c r="I78" s="56">
        <f t="shared" si="2"/>
        <v>0.22</v>
      </c>
      <c r="J78" s="56">
        <f>+J76/J75</f>
        <v>0.25</v>
      </c>
      <c r="K78" s="56">
        <f>+K76/K75</f>
        <v>0.27</v>
      </c>
    </row>
    <row r="79" spans="2:11" ht="12.75">
      <c r="B79" s="34" t="s">
        <v>109</v>
      </c>
      <c r="C79" s="94">
        <v>0.2634</v>
      </c>
      <c r="D79" s="95"/>
      <c r="E79" s="95"/>
      <c r="F79" s="95"/>
      <c r="G79" s="35"/>
      <c r="H79" s="35"/>
      <c r="I79" s="35"/>
      <c r="J79" s="35"/>
      <c r="K79" s="35"/>
    </row>
    <row r="80" spans="2:11" ht="12.75">
      <c r="B80" s="34" t="s">
        <v>110</v>
      </c>
      <c r="C80" s="96">
        <f>(C78+D78+E78+F78)/4</f>
        <v>0.1298437898240728</v>
      </c>
      <c r="D80" s="96"/>
      <c r="E80" s="96"/>
      <c r="F80" s="96"/>
      <c r="G80" s="35"/>
      <c r="H80" s="35"/>
      <c r="I80" s="35"/>
      <c r="J80" s="35"/>
      <c r="K80" s="35"/>
    </row>
    <row r="83" ht="12.75">
      <c r="B83" s="72"/>
    </row>
    <row r="84" ht="12.75">
      <c r="B84" s="89"/>
    </row>
    <row r="85" ht="12.75">
      <c r="B85" s="88"/>
    </row>
    <row r="87" spans="7:9" ht="12.75">
      <c r="G87" s="1"/>
      <c r="H87" s="1"/>
      <c r="I87" s="1"/>
    </row>
  </sheetData>
  <sheetProtection/>
  <mergeCells count="3">
    <mergeCell ref="A1:G1"/>
    <mergeCell ref="C79:F79"/>
    <mergeCell ref="C80:F80"/>
  </mergeCells>
  <printOptions gridLines="1"/>
  <pageMargins left="0.3" right="0.7" top="0.42" bottom="0.33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B30" sqref="B30"/>
    </sheetView>
  </sheetViews>
  <sheetFormatPr defaultColWidth="9.140625" defaultRowHeight="12.75"/>
  <cols>
    <col min="1" max="1" width="37.140625" style="0" bestFit="1" customWidth="1"/>
    <col min="2" max="2" width="16.8515625" style="0" customWidth="1"/>
    <col min="3" max="5" width="13.421875" style="0" customWidth="1"/>
    <col min="6" max="6" width="13.140625" style="0" customWidth="1"/>
    <col min="7" max="7" width="13.421875" style="0" customWidth="1"/>
  </cols>
  <sheetData>
    <row r="1" spans="1:7" ht="12.75">
      <c r="A1" s="97" t="s">
        <v>7</v>
      </c>
      <c r="B1" s="97"/>
      <c r="C1" s="2"/>
      <c r="D1" s="2"/>
      <c r="E1" s="2"/>
      <c r="F1" s="2"/>
      <c r="G1" s="2"/>
    </row>
    <row r="2" spans="1:7" ht="12.75">
      <c r="A2" s="74" t="s">
        <v>68</v>
      </c>
      <c r="B2" s="9" t="s">
        <v>59</v>
      </c>
      <c r="C2" s="9"/>
      <c r="D2" s="9"/>
      <c r="E2" s="9"/>
      <c r="F2" s="9"/>
      <c r="G2" s="9"/>
    </row>
    <row r="3" spans="1:2" ht="12.75">
      <c r="A3" s="19" t="s">
        <v>38</v>
      </c>
      <c r="B3" s="9"/>
    </row>
    <row r="4" spans="1:2" ht="12.75">
      <c r="A4" t="s">
        <v>3</v>
      </c>
      <c r="B4" s="1">
        <f>+B37</f>
        <v>28.778333333333332</v>
      </c>
    </row>
    <row r="5" ht="12.75">
      <c r="B5" s="1"/>
    </row>
    <row r="6" spans="1:2" ht="12.75">
      <c r="A6" s="20"/>
      <c r="B6" s="22"/>
    </row>
    <row r="7" spans="1:2" ht="12.75">
      <c r="A7" s="20" t="s">
        <v>36</v>
      </c>
      <c r="B7" s="23">
        <f>SUM(B4:B6)</f>
        <v>28.778333333333332</v>
      </c>
    </row>
    <row r="8" ht="12.75">
      <c r="B8" s="1"/>
    </row>
    <row r="9" spans="1:2" ht="36">
      <c r="A9" s="19" t="s">
        <v>39</v>
      </c>
      <c r="B9" s="47" t="s">
        <v>40</v>
      </c>
    </row>
    <row r="10" spans="1:2" ht="12.75">
      <c r="A10" t="s">
        <v>37</v>
      </c>
      <c r="B10" s="1">
        <f>+B7/B14</f>
        <v>159.87962962962962</v>
      </c>
    </row>
    <row r="11" spans="1:2" ht="12.75">
      <c r="A11" s="20" t="s">
        <v>8</v>
      </c>
      <c r="B11" s="22">
        <f>+C39</f>
        <v>105</v>
      </c>
    </row>
    <row r="12" spans="1:2" ht="12.75">
      <c r="A12" s="21" t="s">
        <v>35</v>
      </c>
      <c r="B12" s="24">
        <f>+B10-B11</f>
        <v>54.87962962962962</v>
      </c>
    </row>
    <row r="14" spans="1:2" ht="12.75">
      <c r="A14" t="s">
        <v>120</v>
      </c>
      <c r="B14" s="52">
        <v>0.18</v>
      </c>
    </row>
    <row r="17" ht="12.75">
      <c r="A17" s="74" t="s">
        <v>76</v>
      </c>
    </row>
    <row r="18" spans="1:2" ht="12.75">
      <c r="A18" s="19" t="s">
        <v>77</v>
      </c>
      <c r="B18" s="1"/>
    </row>
    <row r="20" spans="1:2" ht="12.75">
      <c r="A20" t="s">
        <v>78</v>
      </c>
      <c r="B20" s="1">
        <f>+B7</f>
        <v>28.778333333333332</v>
      </c>
    </row>
    <row r="22" ht="12.75">
      <c r="A22" s="19" t="s">
        <v>79</v>
      </c>
    </row>
    <row r="23" spans="1:2" ht="12.75">
      <c r="A23" t="s">
        <v>80</v>
      </c>
      <c r="B23" s="1">
        <f>45+60</f>
        <v>105</v>
      </c>
    </row>
    <row r="24" spans="1:2" ht="12.75">
      <c r="A24" t="s">
        <v>81</v>
      </c>
      <c r="B24" s="52">
        <v>0.18</v>
      </c>
    </row>
    <row r="25" spans="1:2" ht="12.75">
      <c r="A25" t="s">
        <v>79</v>
      </c>
      <c r="B25" s="1">
        <f>+B23*B24</f>
        <v>18.9</v>
      </c>
    </row>
    <row r="27" spans="1:2" ht="12.75">
      <c r="A27" t="s">
        <v>82</v>
      </c>
      <c r="B27" s="1">
        <f>+B20-B25</f>
        <v>9.878333333333334</v>
      </c>
    </row>
    <row r="28" spans="1:2" ht="12.75">
      <c r="A28" s="53" t="s">
        <v>83</v>
      </c>
      <c r="B28" s="54">
        <f>+B27*5</f>
        <v>49.391666666666666</v>
      </c>
    </row>
    <row r="30" spans="1:2" ht="12.75">
      <c r="A30" s="53" t="s">
        <v>84</v>
      </c>
      <c r="B30" s="54">
        <f>(B12+B28)/2</f>
        <v>52.13564814814814</v>
      </c>
    </row>
    <row r="32" ht="12.75">
      <c r="A32" s="72" t="s">
        <v>100</v>
      </c>
    </row>
    <row r="33" spans="1:4" ht="12.75">
      <c r="A33" s="35"/>
      <c r="B33" s="73" t="s">
        <v>85</v>
      </c>
      <c r="C33" s="73" t="s">
        <v>60</v>
      </c>
      <c r="D33" s="73" t="s">
        <v>62</v>
      </c>
    </row>
    <row r="34" spans="1:4" ht="12.75">
      <c r="A34" s="34" t="s">
        <v>88</v>
      </c>
      <c r="B34" s="35">
        <v>20.57</v>
      </c>
      <c r="C34" s="35">
        <v>37.25</v>
      </c>
      <c r="D34" s="35">
        <v>38.8</v>
      </c>
    </row>
    <row r="35" spans="1:4" ht="12.75">
      <c r="A35" s="34" t="s">
        <v>54</v>
      </c>
      <c r="B35" s="35">
        <v>1</v>
      </c>
      <c r="C35" s="35">
        <v>2</v>
      </c>
      <c r="D35" s="35">
        <v>2</v>
      </c>
    </row>
    <row r="36" spans="1:4" ht="12.75">
      <c r="A36" s="34" t="s">
        <v>0</v>
      </c>
      <c r="B36" s="35">
        <f>+B34*B35</f>
        <v>20.57</v>
      </c>
      <c r="C36" s="35">
        <f>+C34*C35</f>
        <v>74.5</v>
      </c>
      <c r="D36" s="35">
        <f>+D34*D35</f>
        <v>77.6</v>
      </c>
    </row>
    <row r="37" spans="1:4" ht="12.75">
      <c r="A37" s="34"/>
      <c r="B37" s="84">
        <f>SUM(B36:D36)/6</f>
        <v>28.778333333333332</v>
      </c>
      <c r="C37" s="35"/>
      <c r="D37" s="35"/>
    </row>
    <row r="38" spans="1:4" ht="12.75">
      <c r="A38" s="34" t="s">
        <v>80</v>
      </c>
      <c r="B38" s="35"/>
      <c r="C38" s="35">
        <v>90</v>
      </c>
      <c r="D38" s="35">
        <v>120</v>
      </c>
    </row>
    <row r="39" spans="1:4" ht="12.75">
      <c r="A39" s="91" t="s">
        <v>8</v>
      </c>
      <c r="B39" s="35"/>
      <c r="C39" s="34">
        <f>(C38+D38)/2</f>
        <v>105</v>
      </c>
      <c r="D39" s="35"/>
    </row>
  </sheetData>
  <sheetProtection/>
  <mergeCells count="1">
    <mergeCell ref="A1:B1"/>
  </mergeCells>
  <printOptions gridLines="1"/>
  <pageMargins left="0.7" right="0.7" top="0.75" bottom="0.75" header="0.3" footer="0.3"/>
  <pageSetup horizontalDpi="600" verticalDpi="600" orientation="portrait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4.57421875" style="0" bestFit="1" customWidth="1"/>
    <col min="2" max="2" width="11.7109375" style="0" bestFit="1" customWidth="1"/>
    <col min="3" max="5" width="10.57421875" style="0" bestFit="1" customWidth="1"/>
    <col min="6" max="6" width="10.57421875" style="0" customWidth="1"/>
    <col min="7" max="7" width="0" style="0" hidden="1" customWidth="1"/>
  </cols>
  <sheetData>
    <row r="1" spans="1:7" ht="12.75">
      <c r="A1" s="98" t="s">
        <v>32</v>
      </c>
      <c r="B1" s="98"/>
      <c r="C1" s="98"/>
      <c r="D1" s="98"/>
      <c r="E1" s="98"/>
      <c r="F1" s="98"/>
      <c r="G1" s="98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7" t="s">
        <v>33</v>
      </c>
      <c r="B3" s="73" t="s">
        <v>63</v>
      </c>
      <c r="C3" s="73" t="s">
        <v>64</v>
      </c>
      <c r="D3" s="73" t="s">
        <v>112</v>
      </c>
      <c r="E3" s="73" t="s">
        <v>87</v>
      </c>
      <c r="F3" s="73" t="s">
        <v>117</v>
      </c>
      <c r="G3" s="37" t="s">
        <v>0</v>
      </c>
    </row>
    <row r="4" spans="1:8" ht="12.75">
      <c r="A4" s="35" t="s">
        <v>51</v>
      </c>
      <c r="B4" s="43">
        <v>326</v>
      </c>
      <c r="C4" s="43">
        <v>652</v>
      </c>
      <c r="D4" s="43">
        <v>1304</v>
      </c>
      <c r="E4" s="43">
        <v>1630</v>
      </c>
      <c r="F4" s="43">
        <v>2037</v>
      </c>
      <c r="G4" s="43">
        <f>SUM(B4:E4)</f>
        <v>3912</v>
      </c>
      <c r="H4" s="1"/>
    </row>
    <row r="5" spans="1:8" ht="12.75">
      <c r="A5" s="35" t="s">
        <v>1</v>
      </c>
      <c r="B5" s="43">
        <f>+'Basic Valuation'!G76</f>
        <v>58.679334000000004</v>
      </c>
      <c r="C5" s="43">
        <f>+'Basic Valuation'!H76</f>
        <v>130.39852000000002</v>
      </c>
      <c r="D5" s="43">
        <f>+'Basic Valuation'!I76</f>
        <v>286.87674400000003</v>
      </c>
      <c r="E5" s="43">
        <f>+'Basic Valuation'!J76</f>
        <v>407.495375</v>
      </c>
      <c r="F5" s="43">
        <f>+'Basic Valuation'!K76</f>
        <v>550.11875625</v>
      </c>
      <c r="G5" s="43">
        <f>SUM(B5:E5)</f>
        <v>883.449973</v>
      </c>
      <c r="H5" s="1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5" t="s">
        <v>6</v>
      </c>
      <c r="B7" s="39">
        <v>0.05</v>
      </c>
      <c r="C7" s="39">
        <v>0.06</v>
      </c>
      <c r="D7" s="39">
        <v>0.06</v>
      </c>
      <c r="E7" s="39">
        <v>0.07</v>
      </c>
      <c r="F7" s="39">
        <v>0.07</v>
      </c>
      <c r="G7" s="39"/>
    </row>
    <row r="8" spans="1:7" ht="12.75">
      <c r="A8" s="35"/>
      <c r="B8" s="35"/>
      <c r="C8" s="35"/>
      <c r="D8" s="35"/>
      <c r="E8" s="35"/>
      <c r="F8" s="35"/>
      <c r="G8" s="35"/>
    </row>
    <row r="9" spans="1:7" ht="12.75">
      <c r="A9" s="35" t="s">
        <v>5</v>
      </c>
      <c r="B9" s="36">
        <f>+B5*B7</f>
        <v>2.9339667000000005</v>
      </c>
      <c r="C9" s="36">
        <f>+C5*C7</f>
        <v>7.823911200000001</v>
      </c>
      <c r="D9" s="36">
        <f>+D5*D7</f>
        <v>17.212604640000002</v>
      </c>
      <c r="E9" s="36">
        <f>+E5*E7</f>
        <v>28.524676250000006</v>
      </c>
      <c r="F9" s="36">
        <f>+F5*F7</f>
        <v>38.50831293750001</v>
      </c>
      <c r="G9" s="36"/>
    </row>
    <row r="10" spans="1:7" ht="12.75">
      <c r="A10" s="35" t="s">
        <v>116</v>
      </c>
      <c r="B10" s="36">
        <f>1/1.14</f>
        <v>0.8771929824561404</v>
      </c>
      <c r="C10" s="36">
        <f>+B10/1.14</f>
        <v>0.7694675284702986</v>
      </c>
      <c r="D10" s="36">
        <f>+C10/1.14</f>
        <v>0.6749715162020165</v>
      </c>
      <c r="E10" s="36">
        <f>+D10/1.14</f>
        <v>0.5920802773701899</v>
      </c>
      <c r="F10" s="36">
        <f>+E10/1.14</f>
        <v>0.5193686643598158</v>
      </c>
      <c r="G10" s="36"/>
    </row>
    <row r="11" spans="1:7" ht="12.75">
      <c r="A11" s="35" t="s">
        <v>2</v>
      </c>
      <c r="B11" s="36">
        <f>+B9*B10</f>
        <v>2.5736550000000005</v>
      </c>
      <c r="C11" s="36">
        <f>+C9*C10</f>
        <v>6.0202456140350895</v>
      </c>
      <c r="D11" s="36">
        <f>+D9*D10</f>
        <v>11.618017851646664</v>
      </c>
      <c r="E11" s="36">
        <f>+E9*E10</f>
        <v>16.888898225994872</v>
      </c>
      <c r="F11" s="36">
        <f>+F9*F10</f>
        <v>20.000011057099194</v>
      </c>
      <c r="G11" s="36"/>
    </row>
    <row r="12" spans="1:7" ht="12.75">
      <c r="A12" s="35"/>
      <c r="B12" s="99">
        <f>SUM(B11:F11)</f>
        <v>57.10082774877582</v>
      </c>
      <c r="C12" s="100"/>
      <c r="D12" s="100"/>
      <c r="E12" s="100"/>
      <c r="F12" s="101"/>
      <c r="G12" s="35"/>
    </row>
    <row r="13" spans="1:7" ht="12.75">
      <c r="A13" s="35"/>
      <c r="B13" s="35"/>
      <c r="C13" s="35"/>
      <c r="D13" s="35"/>
      <c r="E13" s="35"/>
      <c r="F13" s="35"/>
      <c r="G13" s="35"/>
    </row>
    <row r="14" spans="2:7" ht="12.75">
      <c r="B14" s="1"/>
      <c r="C14" s="1"/>
      <c r="D14" s="1"/>
      <c r="E14" s="1"/>
      <c r="F14" s="1"/>
      <c r="G14" s="1"/>
    </row>
  </sheetData>
  <sheetProtection/>
  <mergeCells count="2">
    <mergeCell ref="A1:G1"/>
    <mergeCell ref="B12:F12"/>
  </mergeCells>
  <printOptions gridLines="1"/>
  <pageMargins left="0.7" right="0.7" top="0.75" bottom="0.75" header="0.3" footer="0.3"/>
  <pageSetup horizontalDpi="600" verticalDpi="600" orientation="portrait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2.421875" style="0" bestFit="1" customWidth="1"/>
    <col min="2" max="2" width="9.57421875" style="0" bestFit="1" customWidth="1"/>
    <col min="3" max="5" width="10.57421875" style="0" bestFit="1" customWidth="1"/>
  </cols>
  <sheetData>
    <row r="1" spans="1:5" ht="12.75">
      <c r="A1" s="2"/>
      <c r="B1" s="3"/>
      <c r="C1" s="3"/>
      <c r="D1" s="3"/>
      <c r="E1" s="4"/>
    </row>
    <row r="2" spans="1:6" ht="12.75">
      <c r="A2" s="104" t="s">
        <v>4</v>
      </c>
      <c r="B2" s="105"/>
      <c r="C2" s="105"/>
      <c r="D2" s="105"/>
      <c r="E2" s="105"/>
      <c r="F2" s="105"/>
    </row>
    <row r="3" spans="1:6" ht="12.75">
      <c r="A3" s="40"/>
      <c r="B3" s="40"/>
      <c r="C3" s="40"/>
      <c r="D3" s="40"/>
      <c r="E3" s="40"/>
      <c r="F3" s="35"/>
    </row>
    <row r="4" spans="1:6" ht="12.75">
      <c r="A4" s="102" t="s">
        <v>102</v>
      </c>
      <c r="B4" s="103"/>
      <c r="C4" s="103"/>
      <c r="D4" s="103"/>
      <c r="E4" s="103"/>
      <c r="F4" s="103"/>
    </row>
    <row r="5" spans="1:6" ht="12.75">
      <c r="A5" s="41" t="str">
        <f>+'Trade Name'!A3</f>
        <v>Year</v>
      </c>
      <c r="B5" s="90" t="str">
        <f>+'Trade Name'!B3</f>
        <v>2015-16</v>
      </c>
      <c r="C5" s="90" t="str">
        <f>+'Trade Name'!C3</f>
        <v>2016-17</v>
      </c>
      <c r="D5" s="90" t="str">
        <f>+'Trade Name'!D3</f>
        <v>2017-18</v>
      </c>
      <c r="E5" s="90" t="str">
        <f>+'Trade Name'!E3</f>
        <v>2018-19</v>
      </c>
      <c r="F5" s="90" t="str">
        <f>+'Trade Name'!F3</f>
        <v>2019-20</v>
      </c>
    </row>
    <row r="6" spans="1:6" ht="12.75">
      <c r="A6" s="28" t="s">
        <v>3</v>
      </c>
      <c r="B6" s="29">
        <f>+'Trade Name'!B5</f>
        <v>58.679334000000004</v>
      </c>
      <c r="C6" s="29">
        <f>+'Trade Name'!C5</f>
        <v>130.39852000000002</v>
      </c>
      <c r="D6" s="29">
        <f>+'Trade Name'!D5</f>
        <v>286.87674400000003</v>
      </c>
      <c r="E6" s="29">
        <f>+'Trade Name'!E5</f>
        <v>407.495375</v>
      </c>
      <c r="F6" s="29">
        <f>+'Trade Name'!F5</f>
        <v>550.11875625</v>
      </c>
    </row>
    <row r="7" spans="1:6" ht="12.75">
      <c r="A7" s="69" t="s">
        <v>101</v>
      </c>
      <c r="B7" s="29">
        <f>+B6*0.08</f>
        <v>4.69434672</v>
      </c>
      <c r="C7" s="29">
        <f>+C6*0.08</f>
        <v>10.431881600000002</v>
      </c>
      <c r="D7" s="29">
        <f>+D6*0.08</f>
        <v>22.950139520000004</v>
      </c>
      <c r="E7" s="29">
        <f>+E6*0.08</f>
        <v>32.599630000000005</v>
      </c>
      <c r="F7" s="29">
        <f>+F6*0.08</f>
        <v>44.0095005</v>
      </c>
    </row>
    <row r="8" spans="1:6" ht="12.75">
      <c r="A8" s="28" t="s">
        <v>118</v>
      </c>
      <c r="B8" s="29">
        <f>1/1.14</f>
        <v>0.8771929824561404</v>
      </c>
      <c r="C8" s="29">
        <f>+B8/1.14</f>
        <v>0.7694675284702986</v>
      </c>
      <c r="D8" s="29">
        <f>+C8/1.14</f>
        <v>0.6749715162020165</v>
      </c>
      <c r="E8" s="29">
        <f>+D8/1.14</f>
        <v>0.5920802773701899</v>
      </c>
      <c r="F8" s="29">
        <f>+E8/1.14</f>
        <v>0.5193686643598158</v>
      </c>
    </row>
    <row r="9" spans="1:6" ht="12.75">
      <c r="A9" s="28" t="s">
        <v>2</v>
      </c>
      <c r="B9" s="29">
        <f>+B7*B8</f>
        <v>4.117848</v>
      </c>
      <c r="C9" s="29">
        <f>+C7*C8</f>
        <v>8.026994152046786</v>
      </c>
      <c r="D9" s="29">
        <f>+D7*D8</f>
        <v>15.490690468862221</v>
      </c>
      <c r="E9" s="29">
        <f>+E7*E8</f>
        <v>19.301597972565567</v>
      </c>
      <c r="F9" s="29">
        <f>+F7*F8</f>
        <v>22.857155493827644</v>
      </c>
    </row>
    <row r="10" spans="1:6" ht="12.75">
      <c r="A10" s="42" t="s">
        <v>4</v>
      </c>
      <c r="B10" s="106">
        <f>SUM(B9:F9)</f>
        <v>69.79428608730223</v>
      </c>
      <c r="C10" s="107"/>
      <c r="D10" s="107"/>
      <c r="E10" s="107"/>
      <c r="F10" s="108"/>
    </row>
    <row r="11" spans="1:6" ht="12.75">
      <c r="A11" s="35"/>
      <c r="B11" s="35"/>
      <c r="C11" s="35"/>
      <c r="D11" s="35"/>
      <c r="E11" s="35"/>
      <c r="F11" s="35"/>
    </row>
  </sheetData>
  <sheetProtection/>
  <mergeCells count="3">
    <mergeCell ref="A4:F4"/>
    <mergeCell ref="A2:F2"/>
    <mergeCell ref="B10:F10"/>
  </mergeCells>
  <printOptions gridLines="1"/>
  <pageMargins left="0.7" right="0.7" top="0.75" bottom="0.75" header="0.3" footer="0.3"/>
  <pageSetup horizontalDpi="600" verticalDpi="600" orientation="portrait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5.00390625" style="3" bestFit="1" customWidth="1"/>
    <col min="2" max="2" width="10.00390625" style="3" hidden="1" customWidth="1"/>
    <col min="3" max="6" width="10.57421875" style="3" bestFit="1" customWidth="1"/>
    <col min="7" max="16384" width="9.140625" style="3" customWidth="1"/>
  </cols>
  <sheetData>
    <row r="1" spans="1:5" ht="12.75">
      <c r="A1" s="31"/>
      <c r="B1" s="33"/>
      <c r="C1" s="32"/>
      <c r="D1" s="32"/>
      <c r="E1" s="32"/>
    </row>
    <row r="2" spans="1:7" ht="12.75">
      <c r="A2" s="109" t="s">
        <v>48</v>
      </c>
      <c r="B2" s="110"/>
      <c r="C2" s="110"/>
      <c r="D2" s="110"/>
      <c r="E2" s="110"/>
      <c r="F2" s="110"/>
      <c r="G2" s="110"/>
    </row>
    <row r="3" spans="1:7" ht="12.75">
      <c r="A3" s="25" t="s">
        <v>43</v>
      </c>
      <c r="B3" s="25"/>
      <c r="C3" s="25" t="str">
        <f>+'Trade Name'!B3</f>
        <v>2015-16</v>
      </c>
      <c r="D3" s="25" t="str">
        <f>+'Trade Name'!C3</f>
        <v>2016-17</v>
      </c>
      <c r="E3" s="25" t="str">
        <f>+'Trade Name'!D3</f>
        <v>2017-18</v>
      </c>
      <c r="F3" s="25" t="str">
        <f>+'Trade Name'!E3</f>
        <v>2018-19</v>
      </c>
      <c r="G3" s="25" t="str">
        <f>+'Trade Name'!F3</f>
        <v>2019-20</v>
      </c>
    </row>
    <row r="4" spans="1:7" ht="12.75">
      <c r="A4" s="25" t="s">
        <v>50</v>
      </c>
      <c r="B4" s="26"/>
      <c r="C4" s="45">
        <f>+'Trade Name'!B4</f>
        <v>326</v>
      </c>
      <c r="D4" s="45">
        <f>+'Trade Name'!C4</f>
        <v>652</v>
      </c>
      <c r="E4" s="45">
        <f>+'Trade Name'!D4</f>
        <v>1304</v>
      </c>
      <c r="F4" s="45">
        <f>+'Trade Name'!E4</f>
        <v>1630</v>
      </c>
      <c r="G4" s="45">
        <f>+'Trade Name'!F4</f>
        <v>2037</v>
      </c>
    </row>
    <row r="5" spans="1:7" ht="12.75">
      <c r="A5" s="28"/>
      <c r="B5" s="28"/>
      <c r="C5" s="29"/>
      <c r="D5" s="29"/>
      <c r="E5" s="29"/>
      <c r="F5" s="29"/>
      <c r="G5" s="29"/>
    </row>
    <row r="6" spans="1:7" ht="12.75">
      <c r="A6" s="26" t="s">
        <v>44</v>
      </c>
      <c r="B6" s="27"/>
      <c r="C6" s="27">
        <v>2</v>
      </c>
      <c r="D6" s="27">
        <f>+C6</f>
        <v>2</v>
      </c>
      <c r="E6" s="27">
        <f>+D6</f>
        <v>2</v>
      </c>
      <c r="F6" s="27">
        <f>+E6</f>
        <v>2</v>
      </c>
      <c r="G6" s="27">
        <f>+F6</f>
        <v>2</v>
      </c>
    </row>
    <row r="7" spans="1:7" ht="12.75">
      <c r="A7" s="26" t="s">
        <v>41</v>
      </c>
      <c r="B7" s="26"/>
      <c r="C7" s="45">
        <f>+(C4*C6)/100</f>
        <v>6.52</v>
      </c>
      <c r="D7" s="45">
        <f>+(D4*D6)/100</f>
        <v>13.04</v>
      </c>
      <c r="E7" s="45">
        <f>+(E4*E6)/100</f>
        <v>26.08</v>
      </c>
      <c r="F7" s="45">
        <f>+(F4*F6)/100</f>
        <v>32.6</v>
      </c>
      <c r="G7" s="45">
        <f>+(G4*G6)/100</f>
        <v>40.74</v>
      </c>
    </row>
    <row r="8" spans="1:7" ht="12.75">
      <c r="A8" s="26"/>
      <c r="B8" s="26"/>
      <c r="C8" s="45"/>
      <c r="D8" s="45"/>
      <c r="E8" s="45"/>
      <c r="F8" s="44"/>
      <c r="G8" s="44"/>
    </row>
    <row r="9" spans="1:7" ht="12.75">
      <c r="A9" s="26" t="s">
        <v>45</v>
      </c>
      <c r="B9" s="26"/>
      <c r="C9" s="27"/>
      <c r="D9" s="27"/>
      <c r="E9" s="27"/>
      <c r="F9" s="29"/>
      <c r="G9" s="29"/>
    </row>
    <row r="10" spans="1:7" ht="12.75">
      <c r="A10" s="28" t="s">
        <v>119</v>
      </c>
      <c r="B10" s="26">
        <v>1</v>
      </c>
      <c r="C10" s="27">
        <f>+B10/1.14</f>
        <v>0.8771929824561404</v>
      </c>
      <c r="D10" s="27">
        <f>+C10/1.14</f>
        <v>0.7694675284702986</v>
      </c>
      <c r="E10" s="27">
        <f>+D10/1.14</f>
        <v>0.6749715162020165</v>
      </c>
      <c r="F10" s="27">
        <f>+E10/1.14</f>
        <v>0.5920802773701899</v>
      </c>
      <c r="G10" s="27">
        <f>+F10/1.14</f>
        <v>0.5193686643598158</v>
      </c>
    </row>
    <row r="11" spans="1:7" ht="12.75">
      <c r="A11" s="26"/>
      <c r="B11" s="26"/>
      <c r="C11" s="27"/>
      <c r="D11" s="27"/>
      <c r="E11" s="27"/>
      <c r="F11" s="29"/>
      <c r="G11" s="29"/>
    </row>
    <row r="12" spans="1:7" ht="12.75">
      <c r="A12" s="26" t="s">
        <v>46</v>
      </c>
      <c r="B12" s="26"/>
      <c r="C12" s="27">
        <f>+C7*C10</f>
        <v>5.719298245614035</v>
      </c>
      <c r="D12" s="27">
        <f>+D7*D10</f>
        <v>10.033856571252693</v>
      </c>
      <c r="E12" s="27">
        <f>+E7*E10</f>
        <v>17.60325714254859</v>
      </c>
      <c r="F12" s="27">
        <f>+F7*F10</f>
        <v>19.30181704226819</v>
      </c>
      <c r="G12" s="27">
        <f>+G7*G10</f>
        <v>21.159079386018895</v>
      </c>
    </row>
    <row r="13" spans="1:7" ht="12.75">
      <c r="A13" s="25" t="s">
        <v>47</v>
      </c>
      <c r="B13" s="25"/>
      <c r="C13" s="106">
        <f>SUM(C12:G12)</f>
        <v>73.81730838770241</v>
      </c>
      <c r="D13" s="107"/>
      <c r="E13" s="107"/>
      <c r="F13" s="107"/>
      <c r="G13" s="108"/>
    </row>
    <row r="14" spans="1:7" ht="12.75">
      <c r="A14" s="25"/>
      <c r="B14" s="30"/>
      <c r="C14" s="26"/>
      <c r="D14" s="26"/>
      <c r="E14" s="26"/>
      <c r="F14" s="28"/>
      <c r="G14" s="28"/>
    </row>
  </sheetData>
  <sheetProtection/>
  <mergeCells count="2">
    <mergeCell ref="A2:G2"/>
    <mergeCell ref="C13:G13"/>
  </mergeCells>
  <printOptions/>
  <pageMargins left="0.38" right="0.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2.8515625" style="0" bestFit="1" customWidth="1"/>
    <col min="2" max="2" width="11.140625" style="0" customWidth="1"/>
    <col min="3" max="3" width="11.421875" style="0" bestFit="1" customWidth="1"/>
    <col min="4" max="4" width="10.00390625" style="0" bestFit="1" customWidth="1"/>
  </cols>
  <sheetData>
    <row r="1" spans="1:6" ht="12.75">
      <c r="A1" s="98" t="s">
        <v>90</v>
      </c>
      <c r="B1" s="98"/>
      <c r="C1" s="98"/>
      <c r="D1" s="98"/>
      <c r="E1" s="98"/>
      <c r="F1" s="98"/>
    </row>
    <row r="2" spans="1:6" ht="12.75">
      <c r="A2" s="38"/>
      <c r="B2" s="38"/>
      <c r="C2" s="38"/>
      <c r="D2" s="38"/>
      <c r="E2" s="38"/>
      <c r="F2" s="38"/>
    </row>
    <row r="3" spans="1:6" ht="12.75">
      <c r="A3" s="37" t="s">
        <v>33</v>
      </c>
      <c r="B3" s="37" t="str">
        <f>+'Trade Name'!B3</f>
        <v>2015-16</v>
      </c>
      <c r="C3" s="37" t="str">
        <f>+'Trade Name'!C3</f>
        <v>2016-17</v>
      </c>
      <c r="D3" s="37" t="str">
        <f>+'Trade Name'!D3</f>
        <v>2017-18</v>
      </c>
      <c r="E3" s="37" t="str">
        <f>+'Trade Name'!E3</f>
        <v>2018-19</v>
      </c>
      <c r="F3" s="37" t="str">
        <f>+'Trade Name'!F3</f>
        <v>2019-20</v>
      </c>
    </row>
    <row r="4" spans="1:6" ht="12.75">
      <c r="A4" s="55" t="s">
        <v>91</v>
      </c>
      <c r="B4" s="37"/>
      <c r="C4" s="37"/>
      <c r="D4" s="37"/>
      <c r="E4" s="37"/>
      <c r="F4" s="37"/>
    </row>
    <row r="5" spans="1:6" ht="12.75">
      <c r="A5" s="35" t="s">
        <v>51</v>
      </c>
      <c r="B5" s="36">
        <f>+'Trade Name'!B4</f>
        <v>326</v>
      </c>
      <c r="C5" s="36">
        <f>+'Trade Name'!C4</f>
        <v>652</v>
      </c>
      <c r="D5" s="36">
        <f>+'Trade Name'!D4</f>
        <v>1304</v>
      </c>
      <c r="E5" s="36">
        <f>+'Trade Name'!E4</f>
        <v>1630</v>
      </c>
      <c r="F5" s="36">
        <f>+'Trade Name'!F4</f>
        <v>2037</v>
      </c>
    </row>
    <row r="6" spans="1:6" ht="12.75">
      <c r="A6" s="35" t="s">
        <v>1</v>
      </c>
      <c r="B6" s="36">
        <f>+'Trade Name'!B5</f>
        <v>58.679334000000004</v>
      </c>
      <c r="C6" s="36">
        <f>+'Trade Name'!C5</f>
        <v>130.39852000000002</v>
      </c>
      <c r="D6" s="36">
        <f>+'Trade Name'!D5</f>
        <v>286.87674400000003</v>
      </c>
      <c r="E6" s="36">
        <f>+'Trade Name'!E5</f>
        <v>407.495375</v>
      </c>
      <c r="F6" s="36">
        <f>+'Trade Name'!F5</f>
        <v>550.11875625</v>
      </c>
    </row>
    <row r="7" spans="1:6" ht="12.75">
      <c r="A7" s="35"/>
      <c r="B7" s="56">
        <f>+B6/B5</f>
        <v>0.17999795705521474</v>
      </c>
      <c r="C7" s="56">
        <f>+C6/C5</f>
        <v>0.19999773006134972</v>
      </c>
      <c r="D7" s="56">
        <f>+D6/D5</f>
        <v>0.2199975030674847</v>
      </c>
      <c r="E7" s="56">
        <f>+E6/E5</f>
        <v>0.24999716257668714</v>
      </c>
      <c r="F7" s="56">
        <f>+F6/F5</f>
        <v>0.27006320876288664</v>
      </c>
    </row>
    <row r="8" spans="1:6" ht="12.75">
      <c r="A8" s="34" t="s">
        <v>92</v>
      </c>
      <c r="B8" s="36"/>
      <c r="C8" s="36"/>
      <c r="D8" s="36"/>
      <c r="E8" s="36"/>
      <c r="F8" s="36"/>
    </row>
    <row r="9" spans="1:6" ht="12.75">
      <c r="A9" s="35" t="s">
        <v>51</v>
      </c>
      <c r="B9" s="36">
        <f>+B5*0.85</f>
        <v>277.09999999999997</v>
      </c>
      <c r="C9" s="36">
        <f>+C5*0.8</f>
        <v>521.6</v>
      </c>
      <c r="D9" s="36">
        <f>+D5*0.75</f>
        <v>978</v>
      </c>
      <c r="E9" s="36">
        <f>+E5*0.75</f>
        <v>1222.5</v>
      </c>
      <c r="F9" s="36">
        <f>+F5*0.75</f>
        <v>1527.75</v>
      </c>
    </row>
    <row r="10" spans="1:6" ht="12.75">
      <c r="A10" s="35" t="s">
        <v>1</v>
      </c>
      <c r="B10" s="36">
        <f>+B9*B11</f>
        <v>49.87799999999999</v>
      </c>
      <c r="C10" s="36">
        <f>+C9*C11</f>
        <v>93.888</v>
      </c>
      <c r="D10" s="36">
        <f>+D9*D11</f>
        <v>195.60000000000002</v>
      </c>
      <c r="E10" s="36">
        <f>+E9*E11</f>
        <v>244.5</v>
      </c>
      <c r="F10" s="36">
        <f>+F9*F11</f>
        <v>336.105</v>
      </c>
    </row>
    <row r="11" spans="1:6" ht="12.75">
      <c r="A11" s="35"/>
      <c r="B11" s="56">
        <v>0.18</v>
      </c>
      <c r="C11" s="56">
        <v>0.18</v>
      </c>
      <c r="D11" s="56">
        <v>0.2</v>
      </c>
      <c r="E11" s="56">
        <v>0.2</v>
      </c>
      <c r="F11" s="56">
        <v>0.22</v>
      </c>
    </row>
    <row r="12" spans="1:6" ht="12.75">
      <c r="A12" s="35"/>
      <c r="B12" s="36"/>
      <c r="C12" s="36"/>
      <c r="D12" s="36"/>
      <c r="E12" s="36"/>
      <c r="F12" s="36"/>
    </row>
    <row r="13" spans="1:6" ht="12.75">
      <c r="A13" s="35"/>
      <c r="B13" s="36"/>
      <c r="C13" s="36"/>
      <c r="D13" s="36"/>
      <c r="E13" s="36"/>
      <c r="F13" s="36"/>
    </row>
    <row r="14" spans="1:6" ht="12.75">
      <c r="A14" s="35" t="s">
        <v>93</v>
      </c>
      <c r="B14" s="36">
        <f>+B6-B10</f>
        <v>8.801334000000011</v>
      </c>
      <c r="C14" s="36">
        <f>+C6-C10-C13</f>
        <v>36.510520000000014</v>
      </c>
      <c r="D14" s="36">
        <f>+D6-D10-D13</f>
        <v>91.27674400000001</v>
      </c>
      <c r="E14" s="36">
        <f>+E6-E10-E13</f>
        <v>162.99537500000002</v>
      </c>
      <c r="F14" s="36">
        <f>+F6-F10-F13</f>
        <v>214.01375625000003</v>
      </c>
    </row>
    <row r="15" spans="1:6" ht="12.75">
      <c r="A15" s="35"/>
      <c r="B15" s="43"/>
      <c r="C15" s="43"/>
      <c r="D15" s="43"/>
      <c r="E15" s="43"/>
      <c r="F15" s="43"/>
    </row>
    <row r="16" spans="1:6" ht="12.75">
      <c r="A16" s="35" t="s">
        <v>116</v>
      </c>
      <c r="B16" s="36">
        <f>1/1.14</f>
        <v>0.8771929824561404</v>
      </c>
      <c r="C16" s="36">
        <f>+B16/1.14</f>
        <v>0.7694675284702986</v>
      </c>
      <c r="D16" s="36">
        <f>+C16/1.14</f>
        <v>0.6749715162020165</v>
      </c>
      <c r="E16" s="36">
        <f>+D16/1.14</f>
        <v>0.5920802773701899</v>
      </c>
      <c r="F16" s="36">
        <f>+E16/1.14</f>
        <v>0.5193686643598158</v>
      </c>
    </row>
    <row r="17" spans="1:6" ht="12.75">
      <c r="A17" s="35" t="s">
        <v>2</v>
      </c>
      <c r="B17" s="36">
        <f>+B14*B16</f>
        <v>7.720468421052642</v>
      </c>
      <c r="C17" s="36">
        <f>+C14*C16</f>
        <v>28.09365958756542</v>
      </c>
      <c r="D17" s="36">
        <f>+D14*D16</f>
        <v>61.609202291663316</v>
      </c>
      <c r="E17" s="36">
        <f>+E14*E16</f>
        <v>96.50634684005813</v>
      </c>
      <c r="F17" s="36">
        <f>+F14*F16</f>
        <v>111.15203873818969</v>
      </c>
    </row>
    <row r="18" spans="1:6" ht="12.75">
      <c r="A18" s="57" t="s">
        <v>90</v>
      </c>
      <c r="B18" s="99">
        <f>SUM(B17:F17)</f>
        <v>305.08171587852917</v>
      </c>
      <c r="C18" s="100"/>
      <c r="D18" s="100"/>
      <c r="E18" s="100"/>
      <c r="F18" s="101"/>
    </row>
    <row r="19" spans="1:6" ht="12.75">
      <c r="A19" s="35"/>
      <c r="B19" s="35"/>
      <c r="C19" s="35"/>
      <c r="D19" s="35"/>
      <c r="E19" s="35"/>
      <c r="F19" s="35"/>
    </row>
    <row r="20" spans="2:6" ht="12.75">
      <c r="B20" s="1"/>
      <c r="C20" s="1"/>
      <c r="D20" s="1"/>
      <c r="E20" s="1"/>
      <c r="F20" s="1"/>
    </row>
  </sheetData>
  <sheetProtection/>
  <mergeCells count="2">
    <mergeCell ref="A1:F1"/>
    <mergeCell ref="B18:F18"/>
  </mergeCells>
  <printOptions gridLines="1"/>
  <pageMargins left="0.18" right="0.26" top="0.45" bottom="0.23" header="0.3" footer="0.1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Sanket</dc:creator>
  <cp:keywords/>
  <dc:description/>
  <cp:lastModifiedBy>Windows User</cp:lastModifiedBy>
  <cp:lastPrinted>2014-10-16T12:37:25Z</cp:lastPrinted>
  <dcterms:created xsi:type="dcterms:W3CDTF">2012-07-09T04:52:13Z</dcterms:created>
  <dcterms:modified xsi:type="dcterms:W3CDTF">2020-12-22T07:40:32Z</dcterms:modified>
  <cp:category/>
  <cp:version/>
  <cp:contentType/>
  <cp:contentStatus/>
</cp:coreProperties>
</file>